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D:\DOCUMENTOS ACADEMICOS DIEGO 22-23\ASIGNATURAS\- ASIGNATURAS-Periodo Marzo-Agost-26\1 - ASIGNATURAS  --   2  0  2  6\MICROECONOMÍA Negocios Inter\MICRO 2 A\Investigacion formativa julio-26\"/>
    </mc:Choice>
  </mc:AlternateContent>
  <xr:revisionPtr revIDLastSave="0" documentId="13_ncr:1_{601F94AB-2AF0-49A7-AC78-F284E2A3A25B}" xr6:coauthVersionLast="47" xr6:coauthVersionMax="47" xr10:uidLastSave="{00000000-0000-0000-0000-000000000000}"/>
  <bookViews>
    <workbookView xWindow="-110" yWindow="-110" windowWidth="17020" windowHeight="10000" activeTab="1" xr2:uid="{00000000-000D-0000-FFFF-FFFF00000000}"/>
  </bookViews>
  <sheets>
    <sheet name="Hoja3" sheetId="4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9" i="2" l="1"/>
  <c r="O46" i="2"/>
  <c r="N46" i="2"/>
  <c r="N45" i="2"/>
  <c r="N43" i="2"/>
  <c r="N38" i="2"/>
  <c r="G36" i="2"/>
  <c r="O17" i="2"/>
  <c r="O16" i="2"/>
  <c r="P16" i="2"/>
  <c r="Q16" i="2" s="1"/>
  <c r="R16" i="2" s="1"/>
  <c r="N16" i="2"/>
  <c r="G8" i="2"/>
  <c r="E36" i="2"/>
  <c r="E33" i="2"/>
  <c r="E30" i="2"/>
  <c r="E23" i="2"/>
  <c r="C19" i="2"/>
  <c r="C20" i="2"/>
  <c r="C21" i="2"/>
  <c r="C22" i="2"/>
  <c r="C23" i="2" s="1"/>
  <c r="N5" i="2"/>
  <c r="M5" i="2"/>
  <c r="L5" i="2"/>
  <c r="Q43" i="2"/>
  <c r="Q41" i="2"/>
  <c r="Q40" i="2"/>
  <c r="Q39" i="2"/>
  <c r="Q38" i="2"/>
  <c r="N41" i="2"/>
  <c r="N40" i="2"/>
  <c r="N39" i="2"/>
  <c r="G25" i="2"/>
  <c r="P41" i="2"/>
  <c r="P43" i="2" s="1"/>
  <c r="M41" i="2"/>
  <c r="M43" i="2" s="1"/>
  <c r="F35" i="2"/>
  <c r="N23" i="2"/>
  <c r="M17" i="2"/>
  <c r="N17" i="2" s="1"/>
  <c r="P17" i="2" s="1"/>
  <c r="Q17" i="2" s="1"/>
  <c r="R17" i="2" s="1"/>
  <c r="I12" i="2"/>
  <c r="F38" i="2" l="1"/>
  <c r="F37" i="2"/>
  <c r="F36" i="2"/>
  <c r="O23" i="2"/>
  <c r="M16" i="2"/>
  <c r="M19" i="2" s="1"/>
  <c r="F39" i="2" l="1"/>
  <c r="P23" i="2"/>
  <c r="B30" i="2"/>
  <c r="E32" i="2"/>
  <c r="E34" i="2" s="1"/>
  <c r="E39" i="2" s="1"/>
  <c r="G39" i="2" s="1"/>
  <c r="M25" i="2"/>
  <c r="Q23" i="2" l="1"/>
  <c r="M20" i="2"/>
  <c r="M21" i="2" s="1"/>
  <c r="M30" i="2" s="1"/>
  <c r="N25" i="2" l="1"/>
  <c r="N19" i="2"/>
  <c r="N20" i="2" s="1"/>
  <c r="N21" i="2" s="1"/>
  <c r="R23" i="2"/>
  <c r="O25" i="2" l="1"/>
  <c r="P19" i="2"/>
  <c r="O19" i="2"/>
  <c r="O20" i="2"/>
  <c r="O21" i="2" s="1"/>
  <c r="N27" i="2"/>
  <c r="N28" i="2" s="1"/>
  <c r="N30" i="2"/>
  <c r="P25" i="2" l="1"/>
  <c r="P20" i="2"/>
  <c r="P21" i="2" s="1"/>
  <c r="O27" i="2"/>
  <c r="O28" i="2" s="1"/>
  <c r="O30" i="2"/>
  <c r="Q25" i="2" l="1"/>
  <c r="Q19" i="2"/>
  <c r="Q20" i="2" s="1"/>
  <c r="Q21" i="2" s="1"/>
  <c r="P27" i="2"/>
  <c r="P28" i="2" s="1"/>
  <c r="P30" i="2"/>
  <c r="R19" i="2" l="1"/>
  <c r="R20" i="2" s="1"/>
  <c r="R21" i="2" s="1"/>
  <c r="R25" i="2"/>
  <c r="Q27" i="2"/>
  <c r="Q28" i="2" s="1"/>
  <c r="Q30" i="2"/>
  <c r="R27" i="2" l="1"/>
  <c r="R28" i="2" s="1"/>
  <c r="R30" i="2"/>
</calcChain>
</file>

<file path=xl/sharedStrings.xml><?xml version="1.0" encoding="utf-8"?>
<sst xmlns="http://schemas.openxmlformats.org/spreadsheetml/2006/main" count="84" uniqueCount="80">
  <si>
    <t>ANEXO 1</t>
  </si>
  <si>
    <t>DATOS DE PRODUCCIÓN Y VENTAS,  PLAN DE NEGOCIOS PARA EXPORTACION PRODUCTO X</t>
  </si>
  <si>
    <t>COSTO DE PRODUCCIÓN Unitario</t>
  </si>
  <si>
    <t>Con un incremento del _2,5%___,% por efectos de inflación en el costo de la materia prima, a partir del primer período por estartegias de costo</t>
  </si>
  <si>
    <t>Cantidad de unidades mensuales producto X</t>
  </si>
  <si>
    <t>REFERENCIA  al AÑO  BASE , al momento de anualizar, aplicar la tasa total aplicada, desde el año 1</t>
  </si>
  <si>
    <t>Estrategia de precios fijos = 0%  , según resultado análisis de elasticidad ( demanda elástica). Si es demanda Inelástica incremento precio 5%</t>
  </si>
  <si>
    <t>precios variables</t>
  </si>
  <si>
    <t>COSTO DE VENTAS  85% DE LOS INGRESOS</t>
  </si>
  <si>
    <t>PORCENTAJE DE GTOS. OPERATIVOS (Administrativos, Financ-Ventas)</t>
  </si>
  <si>
    <t xml:space="preserve">REFERENCIA:  Estado de Resultados del AÑO  BASE </t>
  </si>
  <si>
    <t>ANEXO 2</t>
  </si>
  <si>
    <t>COSTO DE VENTAS ES EL 75% DE LOS INGRESOS</t>
  </si>
  <si>
    <t>CUADRO DE INGRESOS Y GASTOS</t>
  </si>
  <si>
    <t>ANEXO 6</t>
  </si>
  <si>
    <t>AÑO BASE</t>
  </si>
  <si>
    <t>VIDA ÚTIL DEL PLAN</t>
  </si>
  <si>
    <t>PROYECCION VENTAS  PRODUCCIÓN  PARA 5 AÑOS</t>
  </si>
  <si>
    <t>Período</t>
  </si>
  <si>
    <t>1 (2026)</t>
  </si>
  <si>
    <t>2 (2027)</t>
  </si>
  <si>
    <t>3 (2028)</t>
  </si>
  <si>
    <t>4 (2029)</t>
  </si>
  <si>
    <t>5 (2030)</t>
  </si>
  <si>
    <t>Tasa normal de crecimiento del mercado</t>
  </si>
  <si>
    <t>POR AÑO</t>
  </si>
  <si>
    <t>Año de Inversiones</t>
  </si>
  <si>
    <t>CANTIDAD</t>
  </si>
  <si>
    <t>SERIE HISTORICA</t>
  </si>
  <si>
    <t>PRODUCCIÓN  A</t>
  </si>
  <si>
    <t>TNCM, Producto A</t>
  </si>
  <si>
    <t>AÑOS</t>
  </si>
  <si>
    <t>COSTO DE PRODUCCION  unit  producto A</t>
  </si>
  <si>
    <t>COSTO DE PRODUCCION  en dólares</t>
  </si>
  <si>
    <t>COSTOS OPERATIVOS</t>
  </si>
  <si>
    <t xml:space="preserve">    COSTO TOTAL</t>
  </si>
  <si>
    <t>Año base</t>
  </si>
  <si>
    <t>x 12 =</t>
  </si>
  <si>
    <t xml:space="preserve"> ESTRATEGIA PRECIOS VARIABLES</t>
  </si>
  <si>
    <t>n = 5</t>
  </si>
  <si>
    <t>PROMEDIO</t>
  </si>
  <si>
    <t xml:space="preserve">     TNCM</t>
  </si>
  <si>
    <t>INGRESOS</t>
  </si>
  <si>
    <t>Proyectar</t>
  </si>
  <si>
    <t>BENEFICIO ( Rentabilidad )</t>
  </si>
  <si>
    <t>BENEFICIO mensual</t>
  </si>
  <si>
    <t>VENTAS PROD. A</t>
  </si>
  <si>
    <t xml:space="preserve">    COSTO TOTAL UNITARIO PROMEDIO</t>
  </si>
  <si>
    <t>TOTAL  INGRESOS (año base)</t>
  </si>
  <si>
    <t xml:space="preserve">   (-) Costo de Ventas</t>
  </si>
  <si>
    <t>INFORMACIÓN SOBRE ELASTICIDADES TOMADAS DE FUENTE SECUNDARIA EXTERNA</t>
  </si>
  <si>
    <t>UTILIDAD  BRUTA</t>
  </si>
  <si>
    <t xml:space="preserve">   (-)  COSTOS OPERATIVOS</t>
  </si>
  <si>
    <t xml:space="preserve">elasticidades </t>
  </si>
  <si>
    <t>Cantidad</t>
  </si>
  <si>
    <t>Precio</t>
  </si>
  <si>
    <t>Administrativos</t>
  </si>
  <si>
    <t>Financieros</t>
  </si>
  <si>
    <t>SEMESTRE I</t>
  </si>
  <si>
    <t>Ventas</t>
  </si>
  <si>
    <t>SEMESTRE II</t>
  </si>
  <si>
    <t>UTILIDAD  OPERATIVA</t>
  </si>
  <si>
    <t xml:space="preserve">   Ìndice de rentabilidad o inversiòn</t>
  </si>
  <si>
    <t>SEMESTRE III</t>
  </si>
  <si>
    <t>SEMESTRE IV</t>
  </si>
  <si>
    <t>TASA DE GESTION</t>
  </si>
  <si>
    <t>TASA TOTAL APLICADA</t>
  </si>
  <si>
    <t>e =</t>
  </si>
  <si>
    <t>%  q</t>
  </si>
  <si>
    <t xml:space="preserve">  %  p</t>
  </si>
  <si>
    <t xml:space="preserve"> Estrategia precios variables</t>
  </si>
  <si>
    <t>Demanda Inelástica</t>
  </si>
  <si>
    <r>
      <t>PRECIO DE VENTA Unit. Prod</t>
    </r>
    <r>
      <rPr>
        <b/>
        <sz val="10"/>
        <color rgb="FFFF0000"/>
        <rFont val="Calibri"/>
        <family val="2"/>
        <scheme val="minor"/>
      </rPr>
      <t>ucto A, a</t>
    </r>
    <r>
      <rPr>
        <b/>
        <sz val="10"/>
        <rFont val="Calibri"/>
        <family val="2"/>
        <scheme val="minor"/>
      </rPr>
      <t>ño base</t>
    </r>
  </si>
  <si>
    <t>Mensual</t>
  </si>
  <si>
    <r>
      <t>PRECIO DE VENTA  (Es</t>
    </r>
    <r>
      <rPr>
        <b/>
        <sz val="10"/>
        <color rgb="FFFF0000"/>
        <rFont val="Arial"/>
        <family val="2"/>
      </rPr>
      <t>trategia de Precios Fijos) A</t>
    </r>
  </si>
  <si>
    <t xml:space="preserve">de la vida util de ñl </t>
  </si>
  <si>
    <t xml:space="preserve">En lo referente a las elasticidades, a travès del anàlisis  de los  precios del sector, se observa que el </t>
  </si>
  <si>
    <t>se puede aplicar un escenario en el que se refleja un tipo de demnada es  inelàstica ,  del precio, por lo es decir la cantidad demandada no es muy sesible a la variacionque se toma la decisiode incrementar paulatinament los precios en cada periodo de la vida util del plan</t>
  </si>
  <si>
    <t>ESTADO DE RESULTADOS PRESUPUESTADO</t>
  </si>
  <si>
    <t>PLATOS SALUDABLES ( unidades)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</si>
</sst>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_(* #,##0.000_);_(* \(#,##0.000\);_(* &quot;-&quot;??_);_(@_)"/>
    <numFmt numFmtId="165" formatCode="_-* #,##0.00\ _€_-;\-* #,##0.00\ _€_-;_-* &quot;-&quot;??\ _€_-;_-@_-"/>
    <numFmt numFmtId="166" formatCode="_(* #,##0_);_(* \(#,##0\);_(* &quot;-&quot;??_);_(@_)"/>
    <numFmt numFmtId="167" formatCode="0.0%"/>
    <numFmt numFmtId="168" formatCode="0.000"/>
    <numFmt numFmtId="169" formatCode="_(* #,##0.00_);_(* \(#,##0.00\);_(* &quot;-&quot;??_);_(@_)"/>
  </numFmts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7" tint="-0.249977111117893"/>
      <name val="Arial"/>
      <family val="2"/>
    </font>
    <font>
      <b/>
      <sz val="12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rgb="FFFF0000"/>
      <name val="Arial"/>
      <family val="2"/>
    </font>
    <font>
      <b/>
      <sz val="11"/>
      <color rgb="FF0070C0"/>
      <name val="Calibri"/>
      <family val="2"/>
      <scheme val="minor"/>
    </font>
    <font>
      <b/>
      <sz val="7"/>
      <color rgb="FF0070C0"/>
      <name val="Arial"/>
      <family val="2"/>
    </font>
    <font>
      <b/>
      <sz val="16"/>
      <color indexed="8"/>
      <name val="Arial"/>
      <family val="2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 val="singleAccounting"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5" fontId="2" fillId="0" borderId="0"/>
    <xf numFmtId="9" fontId="2" fillId="0" borderId="0"/>
    <xf numFmtId="0" fontId="4" fillId="0" borderId="0"/>
    <xf numFmtId="0" fontId="4" fillId="0" borderId="0"/>
  </cellStyleXfs>
  <cellXfs count="175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3" fillId="0" borderId="8" xfId="0" applyFont="1" applyBorder="1"/>
    <xf numFmtId="0" fontId="3" fillId="0" borderId="9" xfId="0" applyFont="1" applyBorder="1"/>
    <xf numFmtId="0" fontId="3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6" xfId="0" applyBorder="1"/>
    <xf numFmtId="43" fontId="0" fillId="0" borderId="0" xfId="0" applyNumberFormat="1"/>
    <xf numFmtId="0" fontId="0" fillId="0" borderId="17" xfId="0" applyBorder="1"/>
    <xf numFmtId="43" fontId="0" fillId="0" borderId="18" xfId="0" applyNumberFormat="1" applyBorder="1"/>
    <xf numFmtId="43" fontId="0" fillId="0" borderId="17" xfId="0" applyNumberFormat="1" applyBorder="1"/>
    <xf numFmtId="10" fontId="2" fillId="0" borderId="0" xfId="2" applyNumberFormat="1"/>
    <xf numFmtId="10" fontId="0" fillId="0" borderId="0" xfId="0" applyNumberFormat="1"/>
    <xf numFmtId="10" fontId="0" fillId="0" borderId="18" xfId="0" applyNumberFormat="1" applyBorder="1"/>
    <xf numFmtId="164" fontId="0" fillId="0" borderId="0" xfId="0" applyNumberFormat="1"/>
    <xf numFmtId="0" fontId="5" fillId="4" borderId="21" xfId="0" applyFont="1" applyFill="1" applyBorder="1"/>
    <xf numFmtId="165" fontId="8" fillId="4" borderId="0" xfId="1" applyFont="1" applyFill="1" applyAlignment="1">
      <alignment vertical="center"/>
    </xf>
    <xf numFmtId="0" fontId="9" fillId="4" borderId="16" xfId="0" applyFont="1" applyFill="1" applyBorder="1" applyAlignment="1">
      <alignment vertical="center"/>
    </xf>
    <xf numFmtId="0" fontId="9" fillId="4" borderId="0" xfId="0" applyFont="1" applyFill="1" applyAlignment="1">
      <alignment vertical="center"/>
    </xf>
    <xf numFmtId="165" fontId="6" fillId="4" borderId="0" xfId="1" applyFont="1" applyFill="1" applyAlignment="1">
      <alignment vertical="center"/>
    </xf>
    <xf numFmtId="0" fontId="6" fillId="4" borderId="0" xfId="0" applyFont="1" applyFill="1" applyAlignment="1">
      <alignment horizontal="right" vertical="center"/>
    </xf>
    <xf numFmtId="0" fontId="6" fillId="4" borderId="0" xfId="0" applyFont="1" applyFill="1" applyAlignment="1">
      <alignment vertical="center"/>
    </xf>
    <xf numFmtId="0" fontId="6" fillId="4" borderId="17" xfId="0" applyFont="1" applyFill="1" applyBorder="1" applyAlignment="1">
      <alignment vertical="center"/>
    </xf>
    <xf numFmtId="0" fontId="8" fillId="4" borderId="16" xfId="0" applyFont="1" applyFill="1" applyBorder="1" applyAlignment="1">
      <alignment vertical="center"/>
    </xf>
    <xf numFmtId="9" fontId="8" fillId="4" borderId="18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5" borderId="2" xfId="3" applyFont="1" applyFill="1" applyBorder="1"/>
    <xf numFmtId="0" fontId="10" fillId="5" borderId="25" xfId="3" applyFont="1" applyFill="1" applyBorder="1"/>
    <xf numFmtId="0" fontId="10" fillId="5" borderId="26" xfId="3" applyFont="1" applyFill="1" applyBorder="1" applyAlignment="1">
      <alignment horizontal="center"/>
    </xf>
    <xf numFmtId="0" fontId="10" fillId="6" borderId="8" xfId="3" applyFont="1" applyFill="1" applyBorder="1"/>
    <xf numFmtId="0" fontId="10" fillId="6" borderId="6" xfId="3" applyFont="1" applyFill="1" applyBorder="1"/>
    <xf numFmtId="0" fontId="10" fillId="6" borderId="9" xfId="3" applyFont="1" applyFill="1" applyBorder="1" applyAlignment="1">
      <alignment horizontal="center"/>
    </xf>
    <xf numFmtId="0" fontId="10" fillId="6" borderId="7" xfId="3" applyFont="1" applyFill="1" applyBorder="1" applyAlignment="1">
      <alignment horizontal="center"/>
    </xf>
    <xf numFmtId="0" fontId="10" fillId="7" borderId="8" xfId="3" applyFont="1" applyFill="1" applyBorder="1"/>
    <xf numFmtId="0" fontId="10" fillId="7" borderId="6" xfId="3" applyFont="1" applyFill="1" applyBorder="1"/>
    <xf numFmtId="43" fontId="11" fillId="7" borderId="9" xfId="3" applyNumberFormat="1" applyFont="1" applyFill="1" applyBorder="1"/>
    <xf numFmtId="43" fontId="11" fillId="7" borderId="21" xfId="3" applyNumberFormat="1" applyFont="1" applyFill="1" applyBorder="1"/>
    <xf numFmtId="43" fontId="10" fillId="7" borderId="9" xfId="3" applyNumberFormat="1" applyFont="1" applyFill="1" applyBorder="1"/>
    <xf numFmtId="43" fontId="10" fillId="7" borderId="9" xfId="3" applyNumberFormat="1" applyFont="1" applyFill="1" applyBorder="1" applyAlignment="1">
      <alignment horizontal="right"/>
    </xf>
    <xf numFmtId="0" fontId="10" fillId="7" borderId="27" xfId="3" applyFont="1" applyFill="1" applyBorder="1"/>
    <xf numFmtId="165" fontId="8" fillId="4" borderId="0" xfId="1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165" fontId="8" fillId="9" borderId="23" xfId="1" applyFont="1" applyFill="1" applyBorder="1" applyAlignment="1">
      <alignment vertical="center"/>
    </xf>
    <xf numFmtId="165" fontId="8" fillId="9" borderId="0" xfId="1" applyFont="1" applyFill="1" applyAlignment="1">
      <alignment vertical="center"/>
    </xf>
    <xf numFmtId="10" fontId="0" fillId="0" borderId="9" xfId="0" applyNumberFormat="1" applyBorder="1"/>
    <xf numFmtId="10" fontId="3" fillId="9" borderId="0" xfId="2" applyNumberFormat="1" applyFont="1" applyFill="1"/>
    <xf numFmtId="43" fontId="11" fillId="7" borderId="26" xfId="3" applyNumberFormat="1" applyFont="1" applyFill="1" applyBorder="1"/>
    <xf numFmtId="10" fontId="3" fillId="9" borderId="18" xfId="2" applyNumberFormat="1" applyFont="1" applyFill="1" applyBorder="1"/>
    <xf numFmtId="10" fontId="3" fillId="0" borderId="0" xfId="2" applyNumberFormat="1" applyFont="1"/>
    <xf numFmtId="0" fontId="12" fillId="10" borderId="0" xfId="0" applyFont="1" applyFill="1"/>
    <xf numFmtId="4" fontId="13" fillId="10" borderId="9" xfId="0" applyNumberFormat="1" applyFont="1" applyFill="1" applyBorder="1"/>
    <xf numFmtId="166" fontId="10" fillId="7" borderId="9" xfId="3" applyNumberFormat="1" applyFont="1" applyFill="1" applyBorder="1"/>
    <xf numFmtId="43" fontId="10" fillId="10" borderId="11" xfId="3" applyNumberFormat="1" applyFont="1" applyFill="1" applyBorder="1"/>
    <xf numFmtId="43" fontId="0" fillId="10" borderId="0" xfId="0" applyNumberFormat="1" applyFill="1"/>
    <xf numFmtId="9" fontId="0" fillId="10" borderId="17" xfId="2" applyFont="1" applyFill="1" applyBorder="1"/>
    <xf numFmtId="43" fontId="3" fillId="10" borderId="18" xfId="0" applyNumberFormat="1" applyFont="1" applyFill="1" applyBorder="1"/>
    <xf numFmtId="0" fontId="10" fillId="10" borderId="10" xfId="3" applyFont="1" applyFill="1" applyBorder="1"/>
    <xf numFmtId="0" fontId="10" fillId="9" borderId="8" xfId="3" applyFont="1" applyFill="1" applyBorder="1"/>
    <xf numFmtId="0" fontId="10" fillId="9" borderId="6" xfId="3" applyFont="1" applyFill="1" applyBorder="1"/>
    <xf numFmtId="43" fontId="10" fillId="7" borderId="26" xfId="3" applyNumberFormat="1" applyFont="1" applyFill="1" applyBorder="1"/>
    <xf numFmtId="43" fontId="11" fillId="7" borderId="0" xfId="4" applyNumberFormat="1" applyFont="1" applyFill="1"/>
    <xf numFmtId="0" fontId="16" fillId="5" borderId="2" xfId="4" applyFont="1" applyFill="1" applyBorder="1" applyAlignment="1">
      <alignment horizontal="center"/>
    </xf>
    <xf numFmtId="43" fontId="16" fillId="5" borderId="3" xfId="4" applyNumberFormat="1" applyFont="1" applyFill="1" applyBorder="1" applyAlignment="1">
      <alignment horizontal="center"/>
    </xf>
    <xf numFmtId="43" fontId="16" fillId="5" borderId="4" xfId="4" applyNumberFormat="1" applyFont="1" applyFill="1" applyBorder="1" applyAlignment="1">
      <alignment horizontal="center"/>
    </xf>
    <xf numFmtId="43" fontId="16" fillId="7" borderId="0" xfId="4" applyNumberFormat="1" applyFont="1" applyFill="1" applyAlignment="1">
      <alignment horizontal="center"/>
    </xf>
    <xf numFmtId="0" fontId="10" fillId="7" borderId="8" xfId="4" applyFont="1" applyFill="1" applyBorder="1"/>
    <xf numFmtId="43" fontId="10" fillId="7" borderId="9" xfId="4" applyNumberFormat="1" applyFont="1" applyFill="1" applyBorder="1"/>
    <xf numFmtId="43" fontId="10" fillId="7" borderId="0" xfId="4" applyNumberFormat="1" applyFont="1" applyFill="1"/>
    <xf numFmtId="0" fontId="11" fillId="7" borderId="8" xfId="4" applyFont="1" applyFill="1" applyBorder="1" applyAlignment="1">
      <alignment horizontal="left"/>
    </xf>
    <xf numFmtId="43" fontId="11" fillId="7" borderId="9" xfId="4" applyNumberFormat="1" applyFont="1" applyFill="1" applyBorder="1"/>
    <xf numFmtId="43" fontId="11" fillId="7" borderId="7" xfId="4" applyNumberFormat="1" applyFont="1" applyFill="1" applyBorder="1"/>
    <xf numFmtId="0" fontId="11" fillId="7" borderId="8" xfId="4" applyFont="1" applyFill="1" applyBorder="1"/>
    <xf numFmtId="0" fontId="11" fillId="7" borderId="10" xfId="4" applyFont="1" applyFill="1" applyBorder="1"/>
    <xf numFmtId="43" fontId="11" fillId="7" borderId="11" xfId="4" applyNumberFormat="1" applyFont="1" applyFill="1" applyBorder="1"/>
    <xf numFmtId="0" fontId="11" fillId="7" borderId="0" xfId="4" applyFont="1" applyFill="1"/>
    <xf numFmtId="0" fontId="10" fillId="7" borderId="2" xfId="4" applyFont="1" applyFill="1" applyBorder="1"/>
    <xf numFmtId="43" fontId="10" fillId="7" borderId="3" xfId="4" applyNumberFormat="1" applyFont="1" applyFill="1" applyBorder="1"/>
    <xf numFmtId="0" fontId="15" fillId="7" borderId="10" xfId="4" applyFont="1" applyFill="1" applyBorder="1"/>
    <xf numFmtId="43" fontId="10" fillId="7" borderId="11" xfId="4" applyNumberFormat="1" applyFont="1" applyFill="1" applyBorder="1"/>
    <xf numFmtId="0" fontId="11" fillId="7" borderId="28" xfId="4" applyFont="1" applyFill="1" applyBorder="1"/>
    <xf numFmtId="10" fontId="0" fillId="0" borderId="9" xfId="2" applyNumberFormat="1" applyFont="1" applyBorder="1"/>
    <xf numFmtId="168" fontId="0" fillId="0" borderId="9" xfId="0" applyNumberFormat="1" applyBorder="1"/>
    <xf numFmtId="167" fontId="0" fillId="0" borderId="9" xfId="0" applyNumberFormat="1" applyBorder="1"/>
    <xf numFmtId="0" fontId="3" fillId="0" borderId="0" xfId="0" applyFont="1"/>
    <xf numFmtId="0" fontId="3" fillId="0" borderId="1" xfId="0" applyFont="1" applyBorder="1" applyAlignment="1">
      <alignment horizontal="center"/>
    </xf>
    <xf numFmtId="43" fontId="10" fillId="9" borderId="9" xfId="3" applyNumberFormat="1" applyFont="1" applyFill="1" applyBorder="1"/>
    <xf numFmtId="10" fontId="0" fillId="0" borderId="0" xfId="2" applyNumberFormat="1" applyFont="1"/>
    <xf numFmtId="0" fontId="19" fillId="0" borderId="0" xfId="0" applyFont="1" applyAlignment="1">
      <alignment vertical="center" wrapText="1"/>
    </xf>
    <xf numFmtId="43" fontId="3" fillId="0" borderId="0" xfId="0" applyNumberFormat="1" applyFont="1"/>
    <xf numFmtId="0" fontId="0" fillId="0" borderId="18" xfId="0" applyBorder="1"/>
    <xf numFmtId="165" fontId="8" fillId="4" borderId="0" xfId="2" applyNumberFormat="1" applyFont="1" applyFill="1" applyAlignment="1">
      <alignment vertical="center"/>
    </xf>
    <xf numFmtId="0" fontId="3" fillId="6" borderId="9" xfId="0" applyFont="1" applyFill="1" applyBorder="1" applyAlignment="1">
      <alignment horizontal="center"/>
    </xf>
    <xf numFmtId="0" fontId="10" fillId="6" borderId="26" xfId="3" applyFont="1" applyFill="1" applyBorder="1" applyAlignment="1">
      <alignment horizontal="center"/>
    </xf>
    <xf numFmtId="43" fontId="10" fillId="6" borderId="9" xfId="3" applyNumberFormat="1" applyFont="1" applyFill="1" applyBorder="1"/>
    <xf numFmtId="43" fontId="11" fillId="6" borderId="11" xfId="3" applyNumberFormat="1" applyFont="1" applyFill="1" applyBorder="1"/>
    <xf numFmtId="43" fontId="11" fillId="6" borderId="26" xfId="3" applyNumberFormat="1" applyFont="1" applyFill="1" applyBorder="1"/>
    <xf numFmtId="43" fontId="10" fillId="6" borderId="26" xfId="3" applyNumberFormat="1" applyFont="1" applyFill="1" applyBorder="1"/>
    <xf numFmtId="43" fontId="11" fillId="6" borderId="9" xfId="3" applyNumberFormat="1" applyFont="1" applyFill="1" applyBorder="1"/>
    <xf numFmtId="43" fontId="10" fillId="6" borderId="11" xfId="3" applyNumberFormat="1" applyFont="1" applyFill="1" applyBorder="1"/>
    <xf numFmtId="0" fontId="0" fillId="0" borderId="0" xfId="0" applyAlignment="1">
      <alignment horizontal="center"/>
    </xf>
    <xf numFmtId="43" fontId="10" fillId="9" borderId="9" xfId="4" applyNumberFormat="1" applyFont="1" applyFill="1" applyBorder="1"/>
    <xf numFmtId="43" fontId="10" fillId="9" borderId="11" xfId="4" applyNumberFormat="1" applyFont="1" applyFill="1" applyBorder="1"/>
    <xf numFmtId="43" fontId="17" fillId="9" borderId="11" xfId="4" applyNumberFormat="1" applyFont="1" applyFill="1" applyBorder="1"/>
    <xf numFmtId="43" fontId="10" fillId="9" borderId="30" xfId="4" applyNumberFormat="1" applyFont="1" applyFill="1" applyBorder="1"/>
    <xf numFmtId="0" fontId="3" fillId="0" borderId="6" xfId="0" applyFont="1" applyBorder="1"/>
    <xf numFmtId="166" fontId="10" fillId="7" borderId="16" xfId="3" applyNumberFormat="1" applyFont="1" applyFill="1" applyBorder="1"/>
    <xf numFmtId="43" fontId="14" fillId="7" borderId="0" xfId="4" applyNumberFormat="1" applyFont="1" applyFill="1"/>
    <xf numFmtId="43" fontId="15" fillId="5" borderId="3" xfId="4" applyNumberFormat="1" applyFont="1" applyFill="1" applyBorder="1" applyAlignment="1">
      <alignment horizontal="center"/>
    </xf>
    <xf numFmtId="0" fontId="20" fillId="7" borderId="8" xfId="4" applyFont="1" applyFill="1" applyBorder="1" applyAlignment="1">
      <alignment horizontal="right"/>
    </xf>
    <xf numFmtId="0" fontId="3" fillId="8" borderId="0" xfId="0" applyFont="1" applyFill="1" applyAlignment="1">
      <alignment horizontal="center"/>
    </xf>
    <xf numFmtId="9" fontId="0" fillId="0" borderId="0" xfId="0" applyNumberFormat="1"/>
    <xf numFmtId="0" fontId="21" fillId="0" borderId="21" xfId="0" applyFont="1" applyBorder="1"/>
    <xf numFmtId="9" fontId="2" fillId="0" borderId="0" xfId="2"/>
    <xf numFmtId="0" fontId="0" fillId="2" borderId="0" xfId="0" applyFill="1"/>
    <xf numFmtId="0" fontId="3" fillId="2" borderId="0" xfId="0" applyFont="1" applyFill="1" applyAlignment="1">
      <alignment horizontal="center"/>
    </xf>
    <xf numFmtId="4" fontId="0" fillId="2" borderId="0" xfId="0" applyNumberFormat="1" applyFill="1"/>
    <xf numFmtId="2" fontId="3" fillId="2" borderId="0" xfId="0" applyNumberFormat="1" applyFont="1" applyFill="1"/>
    <xf numFmtId="43" fontId="3" fillId="9" borderId="17" xfId="0" applyNumberFormat="1" applyFont="1" applyFill="1" applyBorder="1"/>
    <xf numFmtId="43" fontId="22" fillId="0" borderId="0" xfId="0" applyNumberFormat="1" applyFont="1"/>
    <xf numFmtId="0" fontId="23" fillId="10" borderId="13" xfId="0" applyFont="1" applyFill="1" applyBorder="1"/>
    <xf numFmtId="0" fontId="23" fillId="10" borderId="14" xfId="0" applyFont="1" applyFill="1" applyBorder="1" applyAlignment="1">
      <alignment horizontal="center"/>
    </xf>
    <xf numFmtId="10" fontId="23" fillId="9" borderId="15" xfId="0" applyNumberFormat="1" applyFont="1" applyFill="1" applyBorder="1"/>
    <xf numFmtId="0" fontId="10" fillId="6" borderId="0" xfId="3" applyFont="1" applyFill="1" applyAlignment="1">
      <alignment horizontal="center"/>
    </xf>
    <xf numFmtId="2" fontId="8" fillId="4" borderId="0" xfId="1" applyNumberFormat="1" applyFont="1" applyFill="1" applyAlignment="1">
      <alignment vertical="center"/>
    </xf>
    <xf numFmtId="169" fontId="24" fillId="10" borderId="18" xfId="0" applyNumberFormat="1" applyFont="1" applyFill="1" applyBorder="1"/>
    <xf numFmtId="10" fontId="26" fillId="9" borderId="9" xfId="2" applyNumberFormat="1" applyFont="1" applyFill="1" applyBorder="1"/>
    <xf numFmtId="4" fontId="27" fillId="0" borderId="9" xfId="0" applyNumberFormat="1" applyFont="1" applyBorder="1"/>
    <xf numFmtId="10" fontId="0" fillId="0" borderId="31" xfId="2" applyNumberFormat="1" applyFont="1" applyBorder="1"/>
    <xf numFmtId="0" fontId="0" fillId="0" borderId="0" xfId="0" applyAlignment="1">
      <alignment horizontal="center"/>
    </xf>
    <xf numFmtId="0" fontId="28" fillId="4" borderId="6" xfId="0" applyFont="1" applyFill="1" applyBorder="1" applyAlignment="1">
      <alignment horizontal="center"/>
    </xf>
    <xf numFmtId="0" fontId="25" fillId="0" borderId="5" xfId="0" applyFont="1" applyBorder="1"/>
    <xf numFmtId="0" fontId="25" fillId="0" borderId="6" xfId="0" applyFont="1" applyBorder="1"/>
    <xf numFmtId="0" fontId="0" fillId="0" borderId="0" xfId="0"/>
    <xf numFmtId="0" fontId="3" fillId="0" borderId="26" xfId="0" applyFont="1" applyBorder="1" applyAlignment="1">
      <alignment horizontal="center"/>
    </xf>
    <xf numFmtId="0" fontId="0" fillId="0" borderId="18" xfId="0" applyBorder="1"/>
    <xf numFmtId="0" fontId="0" fillId="0" borderId="20" xfId="0" applyBorder="1"/>
    <xf numFmtId="0" fontId="3" fillId="0" borderId="1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9" fillId="4" borderId="19" xfId="0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left" indent="3"/>
    </xf>
    <xf numFmtId="0" fontId="3" fillId="0" borderId="29" xfId="0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3" fillId="0" borderId="1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6" fillId="4" borderId="24" xfId="0" applyFont="1" applyFill="1" applyBorder="1" applyAlignment="1">
      <alignment horizontal="center" vertical="center" wrapText="1"/>
    </xf>
    <xf numFmtId="0" fontId="0" fillId="0" borderId="23" xfId="0" applyBorder="1"/>
    <xf numFmtId="0" fontId="0" fillId="0" borderId="24" xfId="0" applyBorder="1"/>
    <xf numFmtId="43" fontId="17" fillId="7" borderId="14" xfId="4" applyNumberFormat="1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/>
    <xf numFmtId="165" fontId="6" fillId="4" borderId="17" xfId="1" applyFont="1" applyFill="1" applyBorder="1" applyAlignment="1">
      <alignment horizontal="center" vertical="center" wrapText="1"/>
    </xf>
    <xf numFmtId="0" fontId="0" fillId="0" borderId="17" xfId="0" applyBorder="1"/>
    <xf numFmtId="0" fontId="6" fillId="4" borderId="17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left" vertical="center"/>
    </xf>
    <xf numFmtId="0" fontId="10" fillId="7" borderId="0" xfId="4" applyFont="1" applyFill="1" applyAlignment="1">
      <alignment horizontal="center"/>
    </xf>
    <xf numFmtId="165" fontId="6" fillId="4" borderId="20" xfId="1" applyFont="1" applyFill="1" applyBorder="1" applyAlignment="1">
      <alignment horizontal="center" vertical="center" wrapText="1"/>
    </xf>
    <xf numFmtId="167" fontId="3" fillId="0" borderId="9" xfId="0" applyNumberFormat="1" applyFont="1" applyBorder="1" applyAlignment="1">
      <alignment horizontal="center"/>
    </xf>
  </cellXfs>
  <cellStyles count="5">
    <cellStyle name="Millares" xfId="1" builtinId="3"/>
    <cellStyle name="Normal" xfId="0" builtinId="0"/>
    <cellStyle name="Normal 2" xfId="4" xr:uid="{00000000-0005-0000-0000-000004000000}"/>
    <cellStyle name="Normal 4" xfId="3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1</xdr:row>
      <xdr:rowOff>19050</xdr:rowOff>
    </xdr:from>
    <xdr:to>
      <xdr:col>6</xdr:col>
      <xdr:colOff>758496</xdr:colOff>
      <xdr:row>44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4700107-B8BE-40F6-BFAC-66530C23D3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10" r="3609"/>
        <a:stretch>
          <a:fillRect/>
        </a:stretch>
      </xdr:blipFill>
      <xdr:spPr bwMode="auto">
        <a:xfrm>
          <a:off x="9526" y="209550"/>
          <a:ext cx="5320970" cy="8181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881FF-DBED-4702-BADA-0CF0DD01CFCF}">
  <dimension ref="A1"/>
  <sheetViews>
    <sheetView workbookViewId="0">
      <selection activeCell="J34" sqref="J34"/>
    </sheetView>
  </sheetViews>
  <sheetFormatPr baseColWidth="10" defaultRowHeight="14.5" x14ac:dyDescent="0.35"/>
  <sheetData/>
  <pageMargins left="1.1023622047244095" right="0.70866141732283472" top="0.74803149606299213" bottom="0.7480314960629921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U52"/>
  <sheetViews>
    <sheetView tabSelected="1" topLeftCell="C7" zoomScale="142" zoomScaleNormal="142" workbookViewId="0">
      <selection activeCell="N30" sqref="N30"/>
    </sheetView>
  </sheetViews>
  <sheetFormatPr baseColWidth="10" defaultRowHeight="14.5" x14ac:dyDescent="0.35"/>
  <cols>
    <col min="3" max="3" width="19.26953125" customWidth="1"/>
    <col min="4" max="4" width="12.453125" customWidth="1"/>
    <col min="5" max="5" width="17.54296875" customWidth="1"/>
    <col min="6" max="6" width="57.453125" bestFit="1" customWidth="1"/>
    <col min="7" max="7" width="12.1796875" customWidth="1"/>
    <col min="8" max="8" width="15.7265625" bestFit="1" customWidth="1"/>
    <col min="11" max="11" width="45" customWidth="1"/>
    <col min="12" max="12" width="18.453125" bestFit="1" customWidth="1"/>
    <col min="13" max="13" width="20" customWidth="1"/>
    <col min="14" max="14" width="18.26953125" customWidth="1"/>
    <col min="15" max="15" width="14.81640625" customWidth="1"/>
    <col min="16" max="16" width="17.81640625" customWidth="1"/>
    <col min="17" max="17" width="14.81640625" customWidth="1"/>
    <col min="18" max="18" width="13.81640625" customWidth="1"/>
    <col min="19" max="19" width="18.453125" customWidth="1"/>
  </cols>
  <sheetData>
    <row r="2" spans="2:20" x14ac:dyDescent="0.35">
      <c r="D2" s="29" t="s">
        <v>0</v>
      </c>
      <c r="E2" s="143" t="s">
        <v>1</v>
      </c>
      <c r="F2" s="144"/>
      <c r="G2" s="144"/>
      <c r="H2" s="144"/>
      <c r="I2" s="144"/>
      <c r="J2" s="144"/>
      <c r="K2" s="145"/>
    </row>
    <row r="3" spans="2:20" ht="27" customHeight="1" x14ac:dyDescent="0.35">
      <c r="D3" s="171" t="s">
        <v>2</v>
      </c>
      <c r="E3" s="163"/>
      <c r="F3" s="163"/>
      <c r="G3" s="56">
        <v>5.0199999999999996</v>
      </c>
      <c r="H3" s="162" t="s">
        <v>3</v>
      </c>
      <c r="I3" s="163"/>
      <c r="J3" s="163"/>
      <c r="K3" s="164"/>
      <c r="N3" s="142"/>
      <c r="O3" s="146"/>
      <c r="P3" s="146"/>
    </row>
    <row r="4" spans="2:20" x14ac:dyDescent="0.35">
      <c r="D4" s="31"/>
      <c r="E4" s="32"/>
      <c r="F4" s="32"/>
      <c r="G4" s="54"/>
      <c r="H4" s="33"/>
      <c r="I4" s="34"/>
      <c r="J4" s="35"/>
      <c r="K4" s="36"/>
      <c r="P4" s="113"/>
    </row>
    <row r="5" spans="2:20" ht="22.5" customHeight="1" x14ac:dyDescent="0.35">
      <c r="B5" s="103"/>
      <c r="D5" s="37" t="s">
        <v>4</v>
      </c>
      <c r="E5" s="32"/>
      <c r="F5" s="32"/>
      <c r="G5" s="137">
        <v>800</v>
      </c>
      <c r="H5" s="168" t="s">
        <v>5</v>
      </c>
      <c r="I5" s="146"/>
      <c r="J5" s="146"/>
      <c r="K5" s="169"/>
      <c r="L5">
        <f>50/20</f>
        <v>2.5</v>
      </c>
      <c r="M5">
        <f>40*20</f>
        <v>800</v>
      </c>
      <c r="N5">
        <f>+M5*12</f>
        <v>9600</v>
      </c>
      <c r="O5" s="55"/>
      <c r="P5" s="123"/>
    </row>
    <row r="6" spans="2:20" ht="12" customHeight="1" x14ac:dyDescent="0.35">
      <c r="D6" s="37"/>
      <c r="E6" s="32"/>
      <c r="F6" s="32"/>
      <c r="G6" s="30"/>
      <c r="H6" s="168"/>
      <c r="I6" s="146"/>
      <c r="J6" s="146"/>
      <c r="K6" s="169"/>
    </row>
    <row r="7" spans="2:20" ht="28" customHeight="1" x14ac:dyDescent="0.35">
      <c r="D7" s="37" t="s">
        <v>72</v>
      </c>
      <c r="E7" s="32"/>
      <c r="F7" s="32"/>
      <c r="G7" s="57">
        <v>7.69</v>
      </c>
      <c r="H7" s="170" t="s">
        <v>6</v>
      </c>
      <c r="I7" s="146"/>
      <c r="J7" s="146"/>
      <c r="K7" s="169"/>
      <c r="L7" t="s">
        <v>7</v>
      </c>
      <c r="O7" s="124"/>
    </row>
    <row r="8" spans="2:20" x14ac:dyDescent="0.35">
      <c r="D8" s="37" t="s">
        <v>8</v>
      </c>
      <c r="E8" s="32"/>
      <c r="F8" s="32"/>
      <c r="G8" s="104">
        <f>+G3/G7</f>
        <v>0.65279583875162539</v>
      </c>
      <c r="H8" s="170"/>
      <c r="I8" s="146"/>
      <c r="J8" s="146"/>
      <c r="K8" s="169"/>
      <c r="O8" s="124"/>
    </row>
    <row r="9" spans="2:20" x14ac:dyDescent="0.35">
      <c r="D9" s="37"/>
      <c r="E9" s="32"/>
      <c r="F9" s="32"/>
      <c r="G9" s="30"/>
      <c r="H9" s="35"/>
      <c r="I9" s="34"/>
      <c r="J9" s="35"/>
      <c r="K9" s="36"/>
    </row>
    <row r="10" spans="2:20" ht="36" customHeight="1" x14ac:dyDescent="0.35">
      <c r="D10" s="154" t="s">
        <v>9</v>
      </c>
      <c r="E10" s="148"/>
      <c r="F10" s="148"/>
      <c r="G10" s="38"/>
      <c r="H10" s="173" t="s">
        <v>10</v>
      </c>
      <c r="I10" s="148"/>
      <c r="J10" s="148"/>
      <c r="K10" s="149"/>
    </row>
    <row r="11" spans="2:20" ht="16.5" customHeight="1" thickBot="1" x14ac:dyDescent="0.4">
      <c r="D11" s="1"/>
    </row>
    <row r="12" spans="2:20" ht="15.75" customHeight="1" thickBot="1" x14ac:dyDescent="0.5">
      <c r="B12" s="97" t="s">
        <v>11</v>
      </c>
      <c r="C12" s="166" t="s">
        <v>12</v>
      </c>
      <c r="D12" s="167"/>
      <c r="E12" s="167"/>
      <c r="F12" s="167"/>
      <c r="G12" s="167"/>
      <c r="H12" s="167"/>
      <c r="I12" s="100" t="e">
        <f>+(E19-E18)/E18</f>
        <v>#DIV/0!</v>
      </c>
      <c r="N12" s="157" t="s">
        <v>13</v>
      </c>
      <c r="O12" s="158"/>
      <c r="P12" s="159"/>
    </row>
    <row r="13" spans="2:20" ht="15.75" customHeight="1" thickBot="1" x14ac:dyDescent="0.4">
      <c r="B13" s="2"/>
      <c r="C13" s="3"/>
      <c r="D13" s="3"/>
      <c r="E13" s="3"/>
      <c r="F13" s="3"/>
      <c r="G13" s="3"/>
      <c r="H13" s="3"/>
      <c r="I13" s="4"/>
      <c r="K13" s="98" t="s">
        <v>14</v>
      </c>
      <c r="L13" s="39"/>
      <c r="M13" s="105" t="s">
        <v>15</v>
      </c>
      <c r="N13" s="147" t="s">
        <v>16</v>
      </c>
      <c r="O13" s="148"/>
      <c r="P13" s="148"/>
      <c r="Q13" s="148"/>
      <c r="R13" s="149"/>
    </row>
    <row r="14" spans="2:20" x14ac:dyDescent="0.35">
      <c r="B14" s="151" t="s">
        <v>17</v>
      </c>
      <c r="C14" s="152"/>
      <c r="D14" s="152"/>
      <c r="E14" s="153"/>
      <c r="F14" s="7"/>
      <c r="G14" s="7"/>
      <c r="H14" s="7"/>
      <c r="I14" s="5"/>
      <c r="K14" s="40" t="s">
        <v>18</v>
      </c>
      <c r="L14" s="41"/>
      <c r="M14" s="106">
        <v>0</v>
      </c>
      <c r="N14" s="42" t="s">
        <v>19</v>
      </c>
      <c r="O14" s="42" t="s">
        <v>20</v>
      </c>
      <c r="P14" s="42" t="s">
        <v>21</v>
      </c>
      <c r="Q14" s="42" t="s">
        <v>22</v>
      </c>
      <c r="R14" s="42" t="s">
        <v>23</v>
      </c>
    </row>
    <row r="15" spans="2:20" ht="20.25" customHeight="1" x14ac:dyDescent="0.4">
      <c r="B15" s="6"/>
      <c r="C15" s="12"/>
      <c r="D15" s="7"/>
      <c r="E15" s="7"/>
      <c r="F15" s="125" t="s">
        <v>24</v>
      </c>
      <c r="G15" s="118"/>
      <c r="H15" s="7"/>
      <c r="I15" s="8"/>
      <c r="K15" s="43" t="s">
        <v>25</v>
      </c>
      <c r="L15" s="44"/>
      <c r="M15" s="45" t="s">
        <v>26</v>
      </c>
      <c r="N15" s="45" t="s">
        <v>27</v>
      </c>
      <c r="O15" s="45" t="s">
        <v>27</v>
      </c>
      <c r="P15" s="45" t="s">
        <v>27</v>
      </c>
      <c r="Q15" s="45" t="s">
        <v>27</v>
      </c>
      <c r="R15" s="46" t="s">
        <v>27</v>
      </c>
      <c r="T15" s="136"/>
    </row>
    <row r="16" spans="2:20" x14ac:dyDescent="0.35">
      <c r="B16" s="6"/>
      <c r="C16" s="9" t="s">
        <v>28</v>
      </c>
      <c r="D16" s="9"/>
      <c r="E16" s="9" t="s">
        <v>29</v>
      </c>
      <c r="F16" s="9" t="s">
        <v>30</v>
      </c>
      <c r="G16" s="12"/>
      <c r="H16" s="9"/>
      <c r="I16" s="8"/>
      <c r="K16" s="47" t="s">
        <v>79</v>
      </c>
      <c r="L16" s="48"/>
      <c r="M16" s="107">
        <f>+E23</f>
        <v>9600</v>
      </c>
      <c r="N16" s="65">
        <f>+M16*1.1</f>
        <v>10560</v>
      </c>
      <c r="O16" s="65">
        <f t="shared" ref="O16:R16" si="0">+N16*1.1</f>
        <v>11616.000000000002</v>
      </c>
      <c r="P16" s="65">
        <f t="shared" si="0"/>
        <v>12777.600000000002</v>
      </c>
      <c r="Q16" s="65">
        <f t="shared" si="0"/>
        <v>14055.360000000004</v>
      </c>
      <c r="R16" s="65">
        <f t="shared" si="0"/>
        <v>15460.896000000006</v>
      </c>
      <c r="S16" s="126"/>
      <c r="T16" s="119"/>
    </row>
    <row r="17" spans="2:19" ht="15.75" customHeight="1" thickBot="1" x14ac:dyDescent="0.4">
      <c r="B17" s="6"/>
      <c r="C17" s="10" t="s">
        <v>31</v>
      </c>
      <c r="D17" s="7"/>
      <c r="E17" s="9"/>
      <c r="F17" s="7"/>
      <c r="G17" s="12"/>
      <c r="H17" s="7"/>
      <c r="I17" s="8"/>
      <c r="K17" s="47" t="s">
        <v>32</v>
      </c>
      <c r="L17" s="48"/>
      <c r="M17" s="108">
        <f>+G3</f>
        <v>5.0199999999999996</v>
      </c>
      <c r="N17" s="108">
        <f>+M17*1.025</f>
        <v>5.1454999999999993</v>
      </c>
      <c r="O17" s="108">
        <f>+N17*1.025</f>
        <v>5.2741374999999993</v>
      </c>
      <c r="P17" s="108">
        <f>+O17*1.025</f>
        <v>5.4059909374999986</v>
      </c>
      <c r="Q17" s="108">
        <f>+P17*1.025</f>
        <v>5.5411407109374977</v>
      </c>
      <c r="R17" s="108">
        <f>+Q17*1.025</f>
        <v>5.6796692287109343</v>
      </c>
    </row>
    <row r="18" spans="2:19" ht="15.75" customHeight="1" x14ac:dyDescent="0.35">
      <c r="B18" s="11"/>
      <c r="C18" s="12">
        <v>2020</v>
      </c>
      <c r="D18" s="12"/>
      <c r="E18" s="140"/>
      <c r="G18" s="16"/>
      <c r="H18" s="12"/>
      <c r="I18" s="5"/>
      <c r="K18" s="47"/>
      <c r="L18" s="48"/>
      <c r="M18" s="109"/>
      <c r="N18" s="60"/>
      <c r="O18" s="60"/>
      <c r="P18" s="60"/>
      <c r="Q18" s="60"/>
      <c r="R18" s="60"/>
    </row>
    <row r="19" spans="2:19" ht="15.75" customHeight="1" x14ac:dyDescent="0.35">
      <c r="B19" s="11"/>
      <c r="C19" s="12">
        <f>+C18+1</f>
        <v>2021</v>
      </c>
      <c r="D19" s="12"/>
      <c r="E19" s="140"/>
      <c r="G19" s="94"/>
      <c r="H19" s="12"/>
      <c r="I19" s="5"/>
      <c r="K19" s="47" t="s">
        <v>33</v>
      </c>
      <c r="L19" s="48"/>
      <c r="M19" s="107">
        <f>+M16*M17</f>
        <v>48191.999999999993</v>
      </c>
      <c r="N19" s="51">
        <f t="shared" ref="N19:R19" si="1">+N16*N17</f>
        <v>54336.479999999996</v>
      </c>
      <c r="O19" s="51">
        <f t="shared" si="1"/>
        <v>61264.381200000003</v>
      </c>
      <c r="P19" s="51">
        <f t="shared" si="1"/>
        <v>69075.589802999995</v>
      </c>
      <c r="Q19" s="51">
        <f t="shared" si="1"/>
        <v>77882.727502882495</v>
      </c>
      <c r="R19" s="51">
        <f t="shared" si="1"/>
        <v>87812.775259500006</v>
      </c>
    </row>
    <row r="20" spans="2:19" ht="16.5" customHeight="1" thickBot="1" x14ac:dyDescent="0.4">
      <c r="B20" s="11"/>
      <c r="C20" s="12">
        <f>+C19+1</f>
        <v>2022</v>
      </c>
      <c r="D20" s="12"/>
      <c r="E20" s="140"/>
      <c r="F20" s="94"/>
      <c r="G20" s="94"/>
      <c r="H20" s="95"/>
      <c r="I20" s="5"/>
      <c r="K20" s="47" t="s">
        <v>34</v>
      </c>
      <c r="L20" s="48"/>
      <c r="M20" s="108">
        <f t="shared" ref="M20:R20" si="2">+M19*0.1</f>
        <v>4819.2</v>
      </c>
      <c r="N20" s="108">
        <f t="shared" si="2"/>
        <v>5433.6480000000001</v>
      </c>
      <c r="O20" s="108">
        <f t="shared" si="2"/>
        <v>6126.4381200000007</v>
      </c>
      <c r="P20" s="108">
        <f t="shared" si="2"/>
        <v>6907.5589803000003</v>
      </c>
      <c r="Q20" s="108">
        <f t="shared" si="2"/>
        <v>7788.2727502882499</v>
      </c>
      <c r="R20" s="108">
        <f t="shared" si="2"/>
        <v>8781.2775259500013</v>
      </c>
    </row>
    <row r="21" spans="2:19" ht="15.75" customHeight="1" x14ac:dyDescent="0.35">
      <c r="B21" s="11"/>
      <c r="C21" s="12">
        <f>+C20+1</f>
        <v>2023</v>
      </c>
      <c r="D21" s="12"/>
      <c r="E21" s="140"/>
      <c r="F21" s="94"/>
      <c r="G21" s="94"/>
      <c r="H21" s="95"/>
      <c r="I21" s="5"/>
      <c r="K21" s="47" t="s">
        <v>35</v>
      </c>
      <c r="L21" s="48"/>
      <c r="M21" s="110">
        <f t="shared" ref="M21:R21" si="3">+M19+M20</f>
        <v>53011.19999999999</v>
      </c>
      <c r="N21" s="73">
        <f t="shared" si="3"/>
        <v>59770.127999999997</v>
      </c>
      <c r="O21" s="73">
        <f t="shared" si="3"/>
        <v>67390.81932000001</v>
      </c>
      <c r="P21" s="73">
        <f t="shared" si="3"/>
        <v>75983.148783299999</v>
      </c>
      <c r="Q21" s="73">
        <f t="shared" si="3"/>
        <v>85671.000253170743</v>
      </c>
      <c r="R21" s="73">
        <f t="shared" si="3"/>
        <v>96594.052785450011</v>
      </c>
    </row>
    <row r="22" spans="2:19" ht="15.75" customHeight="1" x14ac:dyDescent="0.35">
      <c r="B22" s="11"/>
      <c r="C22" s="13">
        <f>+C21+1</f>
        <v>2024</v>
      </c>
      <c r="D22" s="13"/>
      <c r="E22" s="140"/>
      <c r="G22" s="94"/>
      <c r="H22" s="95"/>
      <c r="I22" s="5"/>
      <c r="K22" s="47"/>
      <c r="L22" s="48"/>
      <c r="M22" s="111"/>
      <c r="N22" s="49"/>
      <c r="O22" s="49"/>
      <c r="P22" s="49"/>
      <c r="Q22" s="49"/>
      <c r="R22" s="49"/>
    </row>
    <row r="23" spans="2:19" ht="15.75" customHeight="1" x14ac:dyDescent="0.35">
      <c r="B23" s="14" t="s">
        <v>36</v>
      </c>
      <c r="C23" s="15">
        <f>+C22+1</f>
        <v>2025</v>
      </c>
      <c r="D23" s="12" t="s">
        <v>37</v>
      </c>
      <c r="E23" s="64">
        <f>+G5*12</f>
        <v>9600</v>
      </c>
      <c r="G23" s="94"/>
      <c r="H23" s="95"/>
      <c r="I23" s="5"/>
      <c r="K23" s="47" t="s">
        <v>74</v>
      </c>
      <c r="L23" s="48"/>
      <c r="M23" s="111">
        <v>7.69</v>
      </c>
      <c r="N23" s="111">
        <f>+M23*1.1</f>
        <v>8.4590000000000014</v>
      </c>
      <c r="O23" s="111">
        <f>+N23*1.1</f>
        <v>9.3049000000000017</v>
      </c>
      <c r="P23" s="111">
        <f>+O23*1.1</f>
        <v>10.235390000000002</v>
      </c>
      <c r="Q23" s="111">
        <f>+P23*1.1</f>
        <v>11.258929000000004</v>
      </c>
      <c r="R23" s="111">
        <f>+Q23*1.1</f>
        <v>12.384821900000006</v>
      </c>
      <c r="S23" t="s">
        <v>38</v>
      </c>
    </row>
    <row r="24" spans="2:19" x14ac:dyDescent="0.35">
      <c r="B24" s="11"/>
      <c r="C24" s="12"/>
      <c r="D24" s="12"/>
      <c r="E24" s="16" t="s">
        <v>39</v>
      </c>
      <c r="F24" s="58"/>
      <c r="G24" s="96"/>
      <c r="H24" s="12"/>
      <c r="I24" s="5"/>
      <c r="K24" s="47"/>
      <c r="L24" s="48"/>
      <c r="M24" s="111"/>
      <c r="N24" s="49"/>
      <c r="O24" s="49"/>
      <c r="P24" s="49"/>
      <c r="Q24" s="49"/>
      <c r="R24" s="49"/>
    </row>
    <row r="25" spans="2:19" ht="23.5" x14ac:dyDescent="0.55000000000000004">
      <c r="B25" s="11"/>
      <c r="C25" s="12"/>
      <c r="D25" s="12"/>
      <c r="E25" s="16" t="s">
        <v>40</v>
      </c>
      <c r="F25" s="139">
        <v>3.5000000000000003E-2</v>
      </c>
      <c r="G25" s="141">
        <f>+G24/5</f>
        <v>0</v>
      </c>
      <c r="H25" s="174" t="s">
        <v>41</v>
      </c>
      <c r="I25" s="5"/>
      <c r="K25" s="71" t="s">
        <v>42</v>
      </c>
      <c r="L25" s="72"/>
      <c r="M25" s="107">
        <f t="shared" ref="M25:R25" si="4">+(M23*M16)+(M24*M18)</f>
        <v>73824</v>
      </c>
      <c r="N25" s="99">
        <f t="shared" si="4"/>
        <v>89327.040000000008</v>
      </c>
      <c r="O25" s="99">
        <f t="shared" si="4"/>
        <v>108085.71840000004</v>
      </c>
      <c r="P25" s="99">
        <f t="shared" si="4"/>
        <v>130783.71926400006</v>
      </c>
      <c r="Q25" s="99">
        <f t="shared" si="4"/>
        <v>158248.30030944009</v>
      </c>
      <c r="R25" s="99">
        <f t="shared" si="4"/>
        <v>191480.44337442255</v>
      </c>
    </row>
    <row r="26" spans="2:19" x14ac:dyDescent="0.35">
      <c r="B26" s="11" t="s">
        <v>43</v>
      </c>
      <c r="C26" s="12">
        <v>2019</v>
      </c>
      <c r="D26" s="12"/>
      <c r="E26" s="12"/>
      <c r="F26" s="12"/>
      <c r="G26" s="12"/>
      <c r="H26" s="12"/>
      <c r="I26" s="5"/>
      <c r="K26" s="47"/>
      <c r="L26" s="48"/>
      <c r="M26" s="111"/>
      <c r="N26" s="49"/>
      <c r="O26" s="49"/>
      <c r="P26" s="49"/>
      <c r="Q26" s="49"/>
      <c r="R26" s="50"/>
    </row>
    <row r="27" spans="2:19" ht="15.75" customHeight="1" thickBot="1" x14ac:dyDescent="0.4">
      <c r="B27" s="17"/>
      <c r="C27" s="18"/>
      <c r="D27" s="18"/>
      <c r="E27" s="18"/>
      <c r="F27" s="18"/>
      <c r="G27" s="18"/>
      <c r="H27" s="18"/>
      <c r="I27" s="19"/>
      <c r="K27" s="47" t="s">
        <v>44</v>
      </c>
      <c r="L27" s="48"/>
      <c r="M27" s="107"/>
      <c r="N27" s="52">
        <f>+N25-N21</f>
        <v>29556.912000000011</v>
      </c>
      <c r="O27" s="52">
        <f>+O25-O21</f>
        <v>40694.899080000032</v>
      </c>
      <c r="P27" s="52">
        <f>+P25-P21</f>
        <v>54800.570480700058</v>
      </c>
      <c r="Q27" s="52">
        <f>+Q25-Q21</f>
        <v>72577.300056269349</v>
      </c>
      <c r="R27" s="52">
        <f>+R25-R21</f>
        <v>94886.390588972543</v>
      </c>
    </row>
    <row r="28" spans="2:19" ht="15.75" customHeight="1" thickBot="1" x14ac:dyDescent="0.4">
      <c r="C28" s="97"/>
      <c r="K28" s="47" t="s">
        <v>45</v>
      </c>
      <c r="L28" s="48"/>
      <c r="M28" s="107"/>
      <c r="N28" s="51">
        <f>+N27/12</f>
        <v>2463.0760000000009</v>
      </c>
      <c r="O28" s="51">
        <f>+O27/12</f>
        <v>3391.2415900000028</v>
      </c>
      <c r="P28" s="51">
        <f>+P27/12</f>
        <v>4566.7142067250052</v>
      </c>
      <c r="Q28" s="51">
        <f>+Q27/12</f>
        <v>6048.1083380224454</v>
      </c>
      <c r="R28" s="51">
        <f>+R27/12</f>
        <v>7907.1992157477116</v>
      </c>
    </row>
    <row r="29" spans="2:19" ht="15.75" customHeight="1" thickBot="1" x14ac:dyDescent="0.4">
      <c r="C29" s="157" t="s">
        <v>78</v>
      </c>
      <c r="D29" s="158"/>
      <c r="E29" s="158"/>
      <c r="F29" s="159"/>
      <c r="K29" s="47"/>
      <c r="L29" s="48"/>
      <c r="M29" s="107"/>
      <c r="N29" s="52">
        <f>+N28/5</f>
        <v>492.61520000000019</v>
      </c>
      <c r="O29" s="52"/>
      <c r="P29" s="52"/>
      <c r="Q29" s="52"/>
      <c r="R29" s="52"/>
    </row>
    <row r="30" spans="2:19" ht="21.75" customHeight="1" thickBot="1" x14ac:dyDescent="0.55000000000000004">
      <c r="B30">
        <f>+E30*0.85</f>
        <v>62750.400000000001</v>
      </c>
      <c r="C30" s="20" t="s">
        <v>46</v>
      </c>
      <c r="E30" s="132">
        <f>E23*G7</f>
        <v>73824</v>
      </c>
      <c r="F30" s="22"/>
      <c r="K30" s="70" t="s">
        <v>47</v>
      </c>
      <c r="L30" s="53"/>
      <c r="M30" s="112">
        <f>+M21/M16</f>
        <v>5.5219999999999994</v>
      </c>
      <c r="N30" s="66">
        <f>+(N21)/(N16+N18)</f>
        <v>5.66005</v>
      </c>
      <c r="O30" s="66">
        <f>+(O21)/(O16+O18)</f>
        <v>5.8015512500000002</v>
      </c>
      <c r="P30" s="66">
        <f>+(P21)/(P16+P18)</f>
        <v>5.9465900312499986</v>
      </c>
      <c r="Q30" s="66">
        <f>+(Q21)/(Q16+Q18)</f>
        <v>6.0952547820312475</v>
      </c>
      <c r="R30" s="66">
        <f>+(R21)/(R16+R18)</f>
        <v>6.2476361515820278</v>
      </c>
    </row>
    <row r="31" spans="2:19" x14ac:dyDescent="0.35">
      <c r="C31" s="20"/>
      <c r="E31" s="23"/>
      <c r="F31" s="22"/>
    </row>
    <row r="32" spans="2:19" x14ac:dyDescent="0.35">
      <c r="C32" s="155" t="s">
        <v>48</v>
      </c>
      <c r="D32" s="146"/>
      <c r="E32" s="21">
        <f>+E30</f>
        <v>73824</v>
      </c>
      <c r="F32" s="22"/>
    </row>
    <row r="33" spans="3:21" ht="15.75" customHeight="1" x14ac:dyDescent="0.35">
      <c r="C33" s="20" t="s">
        <v>49</v>
      </c>
      <c r="E33" s="23">
        <f>+G3*E23</f>
        <v>48191.999999999993</v>
      </c>
      <c r="F33" s="22"/>
      <c r="K33" s="172" t="s">
        <v>50</v>
      </c>
      <c r="L33" s="146"/>
      <c r="M33" s="146"/>
      <c r="N33" s="146"/>
      <c r="O33" s="146"/>
      <c r="P33" s="146"/>
      <c r="Q33" s="120"/>
      <c r="R33" s="74"/>
      <c r="S33" s="74"/>
    </row>
    <row r="34" spans="3:21" ht="16.5" customHeight="1" thickBot="1" x14ac:dyDescent="0.4">
      <c r="C34" s="160" t="s">
        <v>51</v>
      </c>
      <c r="D34" s="146"/>
      <c r="E34" s="102">
        <f>+E32-E33</f>
        <v>25632.000000000007</v>
      </c>
      <c r="F34" s="24"/>
      <c r="H34" s="21"/>
      <c r="K34" s="146"/>
      <c r="L34" s="146"/>
      <c r="M34" s="146"/>
      <c r="N34" s="146"/>
      <c r="O34" s="146"/>
      <c r="P34" s="146"/>
      <c r="Q34" s="74"/>
      <c r="R34" s="74"/>
      <c r="S34" s="74"/>
    </row>
    <row r="35" spans="3:21" ht="15.75" customHeight="1" x14ac:dyDescent="0.35">
      <c r="C35" s="20" t="s">
        <v>52</v>
      </c>
      <c r="E35" s="21"/>
      <c r="F35" s="131">
        <f>+E36+E37+E38</f>
        <v>12500</v>
      </c>
      <c r="G35" s="21" t="s">
        <v>73</v>
      </c>
      <c r="H35" s="113"/>
      <c r="I35" s="113"/>
      <c r="K35" s="75" t="s">
        <v>53</v>
      </c>
      <c r="L35" s="75"/>
      <c r="M35" s="121" t="s">
        <v>54</v>
      </c>
      <c r="O35" s="76"/>
      <c r="P35" s="121" t="s">
        <v>55</v>
      </c>
      <c r="Q35" s="76"/>
      <c r="R35" s="77"/>
      <c r="S35" s="78"/>
    </row>
    <row r="36" spans="3:21" x14ac:dyDescent="0.35">
      <c r="C36" s="156" t="s">
        <v>56</v>
      </c>
      <c r="D36" s="146"/>
      <c r="E36" s="67">
        <f>150*5*12</f>
        <v>9000</v>
      </c>
      <c r="F36" s="68">
        <f>+E36/F35</f>
        <v>0.72</v>
      </c>
      <c r="G36" s="21">
        <f>+F35/E32</f>
        <v>0.16932162982228002</v>
      </c>
      <c r="H36" s="62"/>
      <c r="I36" s="25"/>
      <c r="K36" s="79"/>
      <c r="L36" s="79"/>
      <c r="M36" s="80"/>
      <c r="N36" s="80"/>
      <c r="O36" s="80"/>
      <c r="P36" s="80"/>
      <c r="Q36" s="80"/>
      <c r="R36" s="80"/>
      <c r="S36" s="81"/>
    </row>
    <row r="37" spans="3:21" x14ac:dyDescent="0.35">
      <c r="C37" s="156" t="s">
        <v>57</v>
      </c>
      <c r="D37" s="146"/>
      <c r="E37" s="67">
        <v>1500</v>
      </c>
      <c r="F37" s="68">
        <f>+E37/F35</f>
        <v>0.12</v>
      </c>
      <c r="G37" s="21"/>
      <c r="H37" s="25"/>
      <c r="K37" s="82" t="s">
        <v>58</v>
      </c>
      <c r="L37" s="82"/>
      <c r="M37" s="83">
        <v>0.1</v>
      </c>
      <c r="N37" s="83"/>
      <c r="O37" s="83"/>
      <c r="P37" s="83">
        <v>0.05</v>
      </c>
      <c r="Q37" s="83"/>
      <c r="R37" s="83"/>
      <c r="S37" s="74"/>
    </row>
    <row r="38" spans="3:21" x14ac:dyDescent="0.35">
      <c r="C38" s="156" t="s">
        <v>59</v>
      </c>
      <c r="D38" s="146"/>
      <c r="E38" s="69">
        <v>2000</v>
      </c>
      <c r="F38" s="68">
        <f>+E38/F35</f>
        <v>0.16</v>
      </c>
      <c r="G38" s="21"/>
      <c r="K38" s="82" t="s">
        <v>60</v>
      </c>
      <c r="L38" s="85"/>
      <c r="M38" s="83">
        <v>0.15</v>
      </c>
      <c r="N38" s="83">
        <f>+M38/M37-1</f>
        <v>0.49999999999999978</v>
      </c>
      <c r="O38" s="83"/>
      <c r="P38" s="83">
        <v>9.9000000000000005E-2</v>
      </c>
      <c r="Q38" s="83">
        <f>+P38/P37</f>
        <v>1.98</v>
      </c>
      <c r="R38" s="84"/>
      <c r="S38" s="74"/>
    </row>
    <row r="39" spans="3:21" ht="21" customHeight="1" x14ac:dyDescent="0.8">
      <c r="C39" s="150" t="s">
        <v>61</v>
      </c>
      <c r="D39" s="148"/>
      <c r="E39" s="138">
        <f>+E34-F35</f>
        <v>13132.000000000007</v>
      </c>
      <c r="F39" s="126">
        <f>SUM(F36:F38)</f>
        <v>1</v>
      </c>
      <c r="G39" s="59">
        <f>+E39/E30</f>
        <v>0.17788253142609459</v>
      </c>
      <c r="H39" s="97" t="s">
        <v>62</v>
      </c>
      <c r="I39" s="101"/>
      <c r="K39" s="82" t="s">
        <v>63</v>
      </c>
      <c r="L39" s="85"/>
      <c r="M39" s="83">
        <v>0.1</v>
      </c>
      <c r="N39" s="83">
        <f t="shared" ref="N39:N40" si="5">+M39/M38-1</f>
        <v>-0.33333333333333326</v>
      </c>
      <c r="O39" s="83"/>
      <c r="P39" s="83">
        <v>0.14000000000000001</v>
      </c>
      <c r="Q39" s="83">
        <f>+P39/P38</f>
        <v>1.4141414141414141</v>
      </c>
      <c r="R39" s="84"/>
      <c r="S39" s="74"/>
    </row>
    <row r="40" spans="3:21" ht="15.75" customHeight="1" thickBot="1" x14ac:dyDescent="0.4">
      <c r="K40" s="82" t="s">
        <v>64</v>
      </c>
      <c r="L40" s="86"/>
      <c r="M40" s="87">
        <v>0.05</v>
      </c>
      <c r="N40" s="83">
        <f t="shared" si="5"/>
        <v>-0.5</v>
      </c>
      <c r="O40" s="87"/>
      <c r="P40" s="87">
        <v>0.18</v>
      </c>
      <c r="Q40" s="87">
        <f>+P40/P39-1</f>
        <v>0.28571428571428559</v>
      </c>
      <c r="R40" s="87"/>
      <c r="S40" s="74"/>
    </row>
    <row r="41" spans="3:21" ht="15.75" customHeight="1" thickBot="1" x14ac:dyDescent="0.4">
      <c r="C41" s="161" t="s">
        <v>65</v>
      </c>
      <c r="D41" s="146"/>
      <c r="E41" s="146"/>
      <c r="G41" s="61">
        <v>0</v>
      </c>
      <c r="I41" s="27"/>
      <c r="K41" s="88"/>
      <c r="L41" s="88"/>
      <c r="M41" s="74">
        <f>SUM(M37:M40)</f>
        <v>0.39999999999999997</v>
      </c>
      <c r="N41" s="74">
        <f>SUM(N38:N40)</f>
        <v>-0.33333333333333348</v>
      </c>
      <c r="O41" s="74"/>
      <c r="P41" s="74">
        <f>SUM(P37:P40)</f>
        <v>0.46900000000000003</v>
      </c>
      <c r="Q41" s="74">
        <f>SUM(Q38:Q40)</f>
        <v>3.6798556998556995</v>
      </c>
      <c r="R41" s="74"/>
      <c r="S41" s="74"/>
    </row>
    <row r="42" spans="3:21" ht="15.75" customHeight="1" thickBot="1" x14ac:dyDescent="0.4">
      <c r="D42" s="63"/>
      <c r="H42" s="28"/>
      <c r="K42" s="89"/>
      <c r="L42" s="89"/>
      <c r="M42" s="90"/>
      <c r="N42" s="90"/>
      <c r="O42" s="90"/>
      <c r="P42" s="90"/>
      <c r="Q42" s="90"/>
      <c r="R42" s="90"/>
      <c r="S42" s="74"/>
    </row>
    <row r="43" spans="3:21" ht="19.5" customHeight="1" thickBot="1" x14ac:dyDescent="0.5">
      <c r="F43" s="133" t="s">
        <v>66</v>
      </c>
      <c r="G43" s="134"/>
      <c r="H43" s="135">
        <v>0.1</v>
      </c>
      <c r="I43" s="26"/>
      <c r="K43" s="85"/>
      <c r="L43" s="85"/>
      <c r="M43" s="80">
        <f>+M41/4</f>
        <v>9.9999999999999992E-2</v>
      </c>
      <c r="N43" s="83">
        <f>+N41/3</f>
        <v>-0.11111111111111116</v>
      </c>
      <c r="O43" s="83"/>
      <c r="P43" s="80">
        <f>+P41/4</f>
        <v>0.11725000000000001</v>
      </c>
      <c r="Q43" s="83">
        <f>+Q41/3</f>
        <v>1.2266185666185665</v>
      </c>
      <c r="R43" s="84"/>
      <c r="S43" s="74"/>
    </row>
    <row r="44" spans="3:21" x14ac:dyDescent="0.35">
      <c r="C44" s="97"/>
      <c r="H44" s="26"/>
      <c r="I44" s="26"/>
      <c r="K44" s="85"/>
      <c r="L44" s="85"/>
      <c r="M44" s="83"/>
      <c r="N44" s="83"/>
      <c r="O44" s="83"/>
      <c r="P44" s="83"/>
      <c r="Q44" s="83"/>
      <c r="R44" s="83"/>
      <c r="S44" s="74"/>
      <c r="T44" s="21"/>
    </row>
    <row r="45" spans="3:21" ht="21" customHeight="1" thickBot="1" x14ac:dyDescent="0.45">
      <c r="C45" s="127"/>
      <c r="D45" s="128"/>
      <c r="E45" s="128"/>
      <c r="F45" s="128"/>
      <c r="G45" s="128"/>
      <c r="H45" s="126"/>
      <c r="I45" s="26"/>
      <c r="K45" s="122" t="s">
        <v>67</v>
      </c>
      <c r="L45" s="85"/>
      <c r="M45" s="114" t="s">
        <v>68</v>
      </c>
      <c r="N45" s="115">
        <f>+N43</f>
        <v>-0.11111111111111116</v>
      </c>
      <c r="O45" s="114"/>
      <c r="P45" s="83"/>
      <c r="Q45" s="83"/>
      <c r="R45" s="83"/>
      <c r="S45" s="74"/>
      <c r="T45" s="21"/>
      <c r="U45" s="21"/>
    </row>
    <row r="46" spans="3:21" ht="16.5" customHeight="1" thickBot="1" x14ac:dyDescent="0.4">
      <c r="C46" s="127"/>
      <c r="D46" s="127"/>
      <c r="E46" s="129"/>
      <c r="F46" s="127"/>
      <c r="G46" s="130"/>
      <c r="K46" s="91"/>
      <c r="L46" s="91"/>
      <c r="M46" s="116" t="s">
        <v>69</v>
      </c>
      <c r="N46" s="117">
        <f>+Q43</f>
        <v>1.2266185666185665</v>
      </c>
      <c r="O46" s="115">
        <f>+N45/N46</f>
        <v>-9.0583262095414424E-2</v>
      </c>
      <c r="P46" s="92" t="s">
        <v>70</v>
      </c>
      <c r="Q46" s="92"/>
      <c r="R46" s="92"/>
      <c r="S46" s="74"/>
    </row>
    <row r="47" spans="3:21" ht="15.75" customHeight="1" thickBot="1" x14ac:dyDescent="0.4">
      <c r="C47" s="127"/>
      <c r="D47" s="127"/>
      <c r="E47" s="129"/>
      <c r="F47" s="127"/>
      <c r="G47" s="130"/>
      <c r="K47" s="93"/>
      <c r="L47" s="93"/>
      <c r="M47" s="74"/>
      <c r="N47" s="165" t="s">
        <v>71</v>
      </c>
      <c r="O47" s="158"/>
      <c r="P47" s="74"/>
      <c r="Q47" s="74"/>
      <c r="R47" s="74"/>
      <c r="S47" s="74"/>
    </row>
    <row r="49" spans="11:15" x14ac:dyDescent="0.35">
      <c r="K49" s="142"/>
      <c r="L49" s="142"/>
      <c r="M49" s="142"/>
      <c r="N49" s="142"/>
    </row>
    <row r="50" spans="11:15" x14ac:dyDescent="0.35">
      <c r="K50" s="142" t="s">
        <v>76</v>
      </c>
      <c r="L50" s="142"/>
      <c r="M50" s="142"/>
      <c r="N50" s="142"/>
      <c r="O50" s="142"/>
    </row>
    <row r="51" spans="11:15" x14ac:dyDescent="0.35">
      <c r="K51" s="142" t="s">
        <v>77</v>
      </c>
      <c r="L51" s="142"/>
      <c r="M51" s="142"/>
      <c r="N51" s="142"/>
      <c r="O51" s="142"/>
    </row>
    <row r="52" spans="11:15" x14ac:dyDescent="0.35">
      <c r="K52" s="142" t="s">
        <v>75</v>
      </c>
      <c r="L52" s="142"/>
      <c r="M52" s="142"/>
      <c r="N52" s="142"/>
    </row>
  </sheetData>
  <mergeCells count="28">
    <mergeCell ref="K49:N49"/>
    <mergeCell ref="C39:D39"/>
    <mergeCell ref="B14:E14"/>
    <mergeCell ref="D10:F10"/>
    <mergeCell ref="C32:D32"/>
    <mergeCell ref="C38:D38"/>
    <mergeCell ref="C37:D37"/>
    <mergeCell ref="C34:D34"/>
    <mergeCell ref="C12:H12"/>
    <mergeCell ref="H10:K10"/>
    <mergeCell ref="C29:F29"/>
    <mergeCell ref="C36:D36"/>
    <mergeCell ref="K52:N52"/>
    <mergeCell ref="K50:O50"/>
    <mergeCell ref="K51:O51"/>
    <mergeCell ref="E2:K2"/>
    <mergeCell ref="N3:P3"/>
    <mergeCell ref="N13:R13"/>
    <mergeCell ref="N12:P12"/>
    <mergeCell ref="C41:E41"/>
    <mergeCell ref="H3:K3"/>
    <mergeCell ref="N47:O47"/>
    <mergeCell ref="H5:K5"/>
    <mergeCell ref="H8:K8"/>
    <mergeCell ref="D3:F3"/>
    <mergeCell ref="K33:P34"/>
    <mergeCell ref="H6:K6"/>
    <mergeCell ref="H7:K7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Hoja3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2026-07-03T02:07:27Z</cp:lastPrinted>
  <dcterms:created xsi:type="dcterms:W3CDTF">2019-04-10T22:49:11Z</dcterms:created>
  <dcterms:modified xsi:type="dcterms:W3CDTF">2026-07-07T13:51:56Z</dcterms:modified>
</cp:coreProperties>
</file>